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<sst xmlns="http://schemas.openxmlformats.org/spreadsheetml/2006/main" count="613" uniqueCount="215">
  <si>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</si>
  <si>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</si>
  <si>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</si>
  <si>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</si>
  <si>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</si>
  <si>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</si>
  <si>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</si>
  <si>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</si>
  <si>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</si>
  <si>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</si>
  <si>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</si>
  <si>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</si>
  <si>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</si>
  <si>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</si>
  <si>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</si>
  <si>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</si>
  <si>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</si>
  <si>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</si>
  <si>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</si>
  <si>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</si>
  <si>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</si>
  <si>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</si>
  <si>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</si>
  <si>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</si>
  <si>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</si>
  <si>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</si>
  <si>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</si>
  <si>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</si>
  <si>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</si>
  <si>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</si>
  <si>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</si>
  <si>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</si>
  <si>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</si>
  <si>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</si>
  <si>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</si>
  <si>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</si>
  <si>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</si>
  <si>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</si>
  <si>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</si>
  <si>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</si>
  <si>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</si>
  <si>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</si>
  <si>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</si>
  <si>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</si>
  <si>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</si>
  <si>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</si>
  <si>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</si>
  <si>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</si>
  <si>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</si>
  <si>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</si>
  <si>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</si>
  <si>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</si>
  <si>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</si>
  <si>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</si>
  <si>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</si>
  <si>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</si>
  <si>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</si>
  <si>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</si>
  <si>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</si>
  <si>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</si>
  <si>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</si>
  <si>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</si>
  <si>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</si>
  <si>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</si>
  <si>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</si>
  <si>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</si>
  <si>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</si>
  <si>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</si>
  <si>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</si>
  <si>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</si>
  <si>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</si>
  <si>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</si>
  <si>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</si>
  <si>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</si>
  <si>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</si>
  <si>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</si>
  <si>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</si>
  <si>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</si>
  <si>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</si>
  <si>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</si>
  <si>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</si>
  <si>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</si>
  <si>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</si>
  <si>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</si>
  <si>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</si>
  <si>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</si>
  <si>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</si>
  <si>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</si>
  <si>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</si>
  <si>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</si>
  <si>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</si>
  <si>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</si>
  <si>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</si>
  <si>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</si>
  <si>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</si>
  <si>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</si>
  <si>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</si>
  <si>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</si>
  <si>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</si>
  <si>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</si>
  <si>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</si>
  <si>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</si>
  <si>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</si>
  <si>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</si>
  <si>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</si>
  <si>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</si>
  <si>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</si>
  <si>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</si>
  <si>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</si>
  <si>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</si>
  <si>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</si>
  <si>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</si>
  <si>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</si>
  <si>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</si>
  <si>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</si>
  <si>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</si>
  <si>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</si>
  <si>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</si>
  <si>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</si>
  <si>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</si>
  <si>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</si>
  <si>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</si>
  <si>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</si>
  <si>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</si>
  <si>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</si>
  <si>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</si>
  <si>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</si>
  <si>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</si>
  <si>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</si>
  <si>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</si>
  <si>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</si>
  <si>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</si>
  <si>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</si>
  <si>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</si>
  <si>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</si>
  <si>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</si>
  <si>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</si>
  <si>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</si>
  <si>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</si>
  <si>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</si>
  <si>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</si>
  <si>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</si>
  <si>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</si>
  <si>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</si>
  <si>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</si>
  <si>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</si>
  <si>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</si>
  <si>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</si>
  <si>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</si>
  <si>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</si>
  <si>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</si>
  <si>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</si>
  <si>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</si>
  <si>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</si>
  <si>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</si>
  <si>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</si>
  <si>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</si>
  <si>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</si>
  <si>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</si>
  <si>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</si>
  <si>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</si>
  <si>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</si>
  <si>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</si>
  <si>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</si>
  <si>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</si>
  <si>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</si>
  <si>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</si>
  <si>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</si>
  <si>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</si>
  <si>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</si>
  <si>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</si>
  <si>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</si>
  <si>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</si>
  <si>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</si>
  <si>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</si>
  <si>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</si>
  <si>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</si>
  <si>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</si>
  <si>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</si>
  <si>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</si>
  <si>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</si>
  <si>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</si>
  <si>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</si>
  <si>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</si>
  <si>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</si>
  <si>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</si>
  <si>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</si>
  <si>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</si>
  <si>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</si>
  <si>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</si>
  <si>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</si>
  <si>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</si>
  <si>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</si>
  <si>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Затверджений план на січень-березень</t>
  </si>
  <si>
    <t>Необхідно ще отримати до плану на січень-березень</t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</si>
  <si>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</si>
  <si>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</si>
  <si>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</si>
  <si>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</si>
  <si>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</si>
  <si>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</si>
  <si>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</si>
  <si>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</si>
  <si>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</si>
  <si>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</si>
  <si>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</si>
  <si>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</si>
  <si>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</si>
  <si>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</si>
  <si>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</si>
  <si>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 на січень-лютий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</si>
  <si>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</si>
  <si>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</si>
  <si>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</si>
  <si>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14.03.14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</si>
</sst>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6">
        <row r="6">
          <cell r="G6">
            <v>115899059.85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102073837.88999999</v>
          </cell>
        </row>
      </sheetData>
      <sheetData sheetId="18">
        <row r="28">
          <cell r="C28">
            <v>3962352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8" sqref="E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211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187</v>
      </c>
      <c r="J4" s="197" t="s">
        <v>188</v>
      </c>
      <c r="K4" s="201" t="s">
        <v>196</v>
      </c>
      <c r="L4" s="202"/>
      <c r="M4" s="214"/>
      <c r="N4" s="168" t="s">
        <v>214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210</v>
      </c>
      <c r="F5" s="216"/>
      <c r="G5" s="210"/>
      <c r="H5" s="178"/>
      <c r="I5" s="212"/>
      <c r="J5" s="199"/>
      <c r="K5" s="153"/>
      <c r="L5" s="164"/>
      <c r="M5" s="151" t="s">
        <v>212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82207.75</v>
      </c>
      <c r="G8" s="22">
        <f aca="true" t="shared" si="0" ref="G8:G30">F8-E8</f>
        <v>-33030.15000000002</v>
      </c>
      <c r="H8" s="51">
        <f>F8/E8*100</f>
        <v>71.3374245799342</v>
      </c>
      <c r="I8" s="36">
        <f aca="true" t="shared" si="1" ref="I8:I17">F8-D8</f>
        <v>-437121.55</v>
      </c>
      <c r="J8" s="36">
        <f aca="true" t="shared" si="2" ref="J8:J14">F8/D8*100</f>
        <v>15.829599831937077</v>
      </c>
      <c r="K8" s="36">
        <f>F8-110917.9</f>
        <v>-28710.149999999994</v>
      </c>
      <c r="L8" s="136">
        <f>F8/110917.9</f>
        <v>0.7411585506036447</v>
      </c>
      <c r="M8" s="22">
        <f>M10+M19+M33+M56+M68+M30</f>
        <v>41173.10000000001</v>
      </c>
      <c r="N8" s="22">
        <f>N10+N19+N33+N56+N68+N30</f>
        <v>12894.499999999996</v>
      </c>
      <c r="O8" s="36">
        <f aca="true" t="shared" si="3" ref="O8:O71">N8-M8</f>
        <v>-28278.600000000017</v>
      </c>
      <c r="P8" s="36">
        <f>F8/M8*100</f>
        <v>199.66373676016616</v>
      </c>
      <c r="Q8" s="36">
        <f>N8-38338.6</f>
        <v>-25444.100000000002</v>
      </c>
      <c r="R8" s="134">
        <f>N8/38338.6</f>
        <v>0.3363320517702784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66194.87</v>
      </c>
      <c r="G9" s="22">
        <f t="shared" si="0"/>
        <v>66194.87</v>
      </c>
      <c r="H9" s="20"/>
      <c r="I9" s="56">
        <f t="shared" si="1"/>
        <v>-352171.33</v>
      </c>
      <c r="J9" s="56">
        <f t="shared" si="2"/>
        <v>15.822231815094048</v>
      </c>
      <c r="K9" s="56"/>
      <c r="L9" s="135"/>
      <c r="M9" s="20">
        <f>M10+M17</f>
        <v>33586.40000000001</v>
      </c>
      <c r="N9" s="20">
        <f>N10+N17</f>
        <v>11448.879999999997</v>
      </c>
      <c r="O9" s="36">
        <f t="shared" si="3"/>
        <v>-22137.52000000001</v>
      </c>
      <c r="P9" s="56">
        <f>F9/M9*100</f>
        <v>197.08831550865818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66194.87</v>
      </c>
      <c r="G10" s="49">
        <f t="shared" si="0"/>
        <v>-27261.73000000001</v>
      </c>
      <c r="H10" s="40">
        <f aca="true" t="shared" si="4" ref="H10:H17">F10/E10*100</f>
        <v>70.82952942863318</v>
      </c>
      <c r="I10" s="56">
        <f t="shared" si="1"/>
        <v>-352171.33</v>
      </c>
      <c r="J10" s="56">
        <f t="shared" si="2"/>
        <v>15.822231815094048</v>
      </c>
      <c r="K10" s="141">
        <f>F10-85215.1</f>
        <v>-19020.23000000001</v>
      </c>
      <c r="L10" s="142">
        <f>F10/85215.1</f>
        <v>0.7767974220531336</v>
      </c>
      <c r="M10" s="40">
        <f>E10-лютий!E10</f>
        <v>33586.40000000001</v>
      </c>
      <c r="N10" s="40">
        <f>F10-лютий!F10</f>
        <v>11448.879999999997</v>
      </c>
      <c r="O10" s="53">
        <f t="shared" si="3"/>
        <v>-22137.52000000001</v>
      </c>
      <c r="P10" s="56">
        <f aca="true" t="shared" si="5" ref="P10:P17">N10/M10*100</f>
        <v>34.087845080151475</v>
      </c>
      <c r="Q10" s="141">
        <f>N10-30092.3</f>
        <v>-18643.420000000002</v>
      </c>
      <c r="R10" s="142">
        <f>N10/30092.3</f>
        <v>0.3804587884608354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781.34</v>
      </c>
      <c r="G19" s="49">
        <f t="shared" si="0"/>
        <v>-447.2599999999999</v>
      </c>
      <c r="H19" s="40">
        <f aca="true" t="shared" si="6" ref="H19:H29">F19/E19*100</f>
        <v>63.59596288458409</v>
      </c>
      <c r="I19" s="56">
        <f aca="true" t="shared" si="7" ref="I19:I29">F19-D19</f>
        <v>-5218.66</v>
      </c>
      <c r="J19" s="56">
        <f aca="true" t="shared" si="8" ref="J19:J29">F19/D19*100</f>
        <v>13.022333333333332</v>
      </c>
      <c r="K19" s="56">
        <f>F19-4285.5</f>
        <v>-3504.16</v>
      </c>
      <c r="L19" s="135">
        <f>F19/4285.5</f>
        <v>0.18232178275580446</v>
      </c>
      <c r="M19" s="40">
        <f>E19-лютий!E19</f>
        <v>510.9999999999999</v>
      </c>
      <c r="N19" s="40">
        <f>F19-лютий!F19</f>
        <v>42.23000000000002</v>
      </c>
      <c r="O19" s="53">
        <f t="shared" si="3"/>
        <v>-468.76999999999987</v>
      </c>
      <c r="P19" s="56">
        <f aca="true" t="shared" si="9" ref="P19:P29">N19/M19*100</f>
        <v>8.264187866927598</v>
      </c>
      <c r="Q19" s="56">
        <f>N19-409.4</f>
        <v>-367.16999999999996</v>
      </c>
      <c r="R19" s="135">
        <f>N19/409.4</f>
        <v>0.1031509526135809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180</v>
      </c>
      <c r="C29" s="143">
        <v>11010232</v>
      </c>
      <c r="D29" s="144">
        <v>3000</v>
      </c>
      <c r="E29" s="144">
        <v>728.6</v>
      </c>
      <c r="F29" s="146">
        <v>717.64</v>
      </c>
      <c r="G29" s="49">
        <f t="shared" si="0"/>
        <v>-10.960000000000036</v>
      </c>
      <c r="H29" s="40">
        <f t="shared" si="6"/>
        <v>98.49574526489157</v>
      </c>
      <c r="I29" s="56">
        <f t="shared" si="7"/>
        <v>-2282.36</v>
      </c>
      <c r="J29" s="56">
        <f t="shared" si="8"/>
        <v>23.921333333333333</v>
      </c>
      <c r="K29" s="148">
        <f>F29-731.3</f>
        <v>-13.659999999999968</v>
      </c>
      <c r="L29" s="149">
        <f>F29/731.3</f>
        <v>0.9813209353206619</v>
      </c>
      <c r="M29" s="146">
        <f>E29-лютий!E29</f>
        <v>12.600000000000023</v>
      </c>
      <c r="N29" s="146">
        <f>F29-лютий!F29</f>
        <v>0</v>
      </c>
      <c r="O29" s="148">
        <f t="shared" si="3"/>
        <v>-12.600000000000023</v>
      </c>
      <c r="P29" s="145">
        <f t="shared" si="9"/>
        <v>0</v>
      </c>
      <c r="Q29" s="145">
        <f>N29-408.7</f>
        <v>-408.7</v>
      </c>
      <c r="R29" s="196">
        <f>N29/408.7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13636.47</v>
      </c>
      <c r="G33" s="49">
        <f aca="true" t="shared" si="14" ref="G33:G72">F33-E33</f>
        <v>-5222.030000000001</v>
      </c>
      <c r="H33" s="40">
        <f aca="true" t="shared" si="15" ref="H33:H67">F33/E33*100</f>
        <v>72.30940955007026</v>
      </c>
      <c r="I33" s="56">
        <f>F33-D33</f>
        <v>-74429.53</v>
      </c>
      <c r="J33" s="56">
        <f aca="true" t="shared" si="16" ref="J33:J72">F33/D33*100</f>
        <v>15.484375354847499</v>
      </c>
      <c r="K33" s="141">
        <f>F33-19762.7</f>
        <v>-6126.230000000001</v>
      </c>
      <c r="L33" s="142">
        <f>F33/19762.7</f>
        <v>0.6900104742773001</v>
      </c>
      <c r="M33" s="40">
        <f>E33-лютий!E33</f>
        <v>6470.299999999999</v>
      </c>
      <c r="N33" s="40">
        <f>F33-лютий!F33</f>
        <v>879.4699999999993</v>
      </c>
      <c r="O33" s="53">
        <f t="shared" si="3"/>
        <v>-5590.83</v>
      </c>
      <c r="P33" s="56">
        <f aca="true" t="shared" si="17" ref="P33:P67">N33/M33*100</f>
        <v>13.592414571194528</v>
      </c>
      <c r="Q33" s="141">
        <f>N33-7227.1</f>
        <v>-6347.630000000001</v>
      </c>
      <c r="R33" s="142">
        <f>N33/7227.1</f>
        <v>0.12169058128433248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181</v>
      </c>
      <c r="C55" s="65"/>
      <c r="D55" s="144">
        <f>56066+10200</f>
        <v>66266</v>
      </c>
      <c r="E55" s="144">
        <f>13737.9+280.3</f>
        <v>14018.199999999999</v>
      </c>
      <c r="F55" s="146">
        <v>10273.02</v>
      </c>
      <c r="G55" s="144">
        <f t="shared" si="14"/>
        <v>-3745.1799999999985</v>
      </c>
      <c r="H55" s="146">
        <f t="shared" si="15"/>
        <v>73.28344580616628</v>
      </c>
      <c r="I55" s="145">
        <f t="shared" si="18"/>
        <v>-55992.979999999996</v>
      </c>
      <c r="J55" s="145">
        <f t="shared" si="16"/>
        <v>15.502701234418858</v>
      </c>
      <c r="K55" s="148">
        <f>F55-14615.9</f>
        <v>-4342.879999999999</v>
      </c>
      <c r="L55" s="149">
        <f>F55/14615.9</f>
        <v>0.7028660568285224</v>
      </c>
      <c r="M55" s="146">
        <f>E55-лютий!E55</f>
        <v>4518.199999999999</v>
      </c>
      <c r="N55" s="146">
        <f>F55-лютий!F55</f>
        <v>792.9099999999999</v>
      </c>
      <c r="O55" s="148">
        <f t="shared" si="3"/>
        <v>-3725.289999999999</v>
      </c>
      <c r="P55" s="148">
        <f t="shared" si="17"/>
        <v>17.5492452746669</v>
      </c>
      <c r="Q55" s="194">
        <f>N55-4813.8</f>
        <v>-4020.8900000000003</v>
      </c>
      <c r="R55" s="195">
        <f>N55/4813.8</f>
        <v>0.16471602476214214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1591.38</v>
      </c>
      <c r="G56" s="49">
        <f t="shared" si="14"/>
        <v>-93.7199999999998</v>
      </c>
      <c r="H56" s="40">
        <f t="shared" si="15"/>
        <v>94.43831226633435</v>
      </c>
      <c r="I56" s="56">
        <f t="shared" si="18"/>
        <v>-5268.62</v>
      </c>
      <c r="J56" s="56">
        <f t="shared" si="16"/>
        <v>23.197959183673472</v>
      </c>
      <c r="K56" s="56">
        <f>F56-1629.5</f>
        <v>-38.11999999999989</v>
      </c>
      <c r="L56" s="135">
        <f>F56/1629.5</f>
        <v>0.9766063209573489</v>
      </c>
      <c r="M56" s="40">
        <f>E56-лютий!E56</f>
        <v>605.3999999999999</v>
      </c>
      <c r="N56" s="40">
        <f>F56-лютий!F56</f>
        <v>523.9200000000001</v>
      </c>
      <c r="O56" s="53">
        <f t="shared" si="3"/>
        <v>-81.47999999999979</v>
      </c>
      <c r="P56" s="56">
        <f t="shared" si="17"/>
        <v>86.54112983151639</v>
      </c>
      <c r="Q56" s="56">
        <f>N56-609.7</f>
        <v>-85.77999999999997</v>
      </c>
      <c r="R56" s="135">
        <f>N56/609.7</f>
        <v>0.8593078563227817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F68-0.3</f>
        <v>0.48000000000000004</v>
      </c>
      <c r="L68" s="135"/>
      <c r="M68" s="40">
        <f>E68-лютий!E68</f>
        <v>0</v>
      </c>
      <c r="N68" s="40">
        <f>F68-лютий!F68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2915.8500000000004</v>
      </c>
      <c r="G74" s="50">
        <f aca="true" t="shared" si="24" ref="G74:G92">F74-E74</f>
        <v>83.85000000000036</v>
      </c>
      <c r="H74" s="51">
        <f aca="true" t="shared" si="25" ref="H74:H87">F74/E74*100</f>
        <v>102.96080508474577</v>
      </c>
      <c r="I74" s="36">
        <f aca="true" t="shared" si="26" ref="I74:I92">F74-D74</f>
        <v>-14749.749999999998</v>
      </c>
      <c r="J74" s="36">
        <f aca="true" t="shared" si="27" ref="J74:J92">F74/D74*100</f>
        <v>16.505807897835346</v>
      </c>
      <c r="K74" s="36">
        <f>F74-3848.8</f>
        <v>-932.9499999999998</v>
      </c>
      <c r="L74" s="136">
        <f>F74/3848.8</f>
        <v>0.7575997713573063</v>
      </c>
      <c r="M74" s="22">
        <f>M77+M86+M88+M89+M94+M95+M96+M97+M99+M87+M103</f>
        <v>965</v>
      </c>
      <c r="N74" s="22">
        <f>N77+N86+N88+N89+N94+N95+N96+N97+N99+N32+N103+N87</f>
        <v>811.3299999999999</v>
      </c>
      <c r="O74" s="55">
        <f aca="true" t="shared" si="28" ref="O74:O92">N74-M74</f>
        <v>-153.67000000000007</v>
      </c>
      <c r="P74" s="36">
        <f>N74/M74*100</f>
        <v>84.07564766839377</v>
      </c>
      <c r="Q74" s="36">
        <f>N74-1138.4</f>
        <v>-327.07000000000016</v>
      </c>
      <c r="R74" s="136">
        <f>N74/1138.4</f>
        <v>0.7126932536893885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170</v>
      </c>
      <c r="C87" s="64">
        <v>21080500</v>
      </c>
      <c r="D87" s="41"/>
      <c r="E87" s="41">
        <v>0</v>
      </c>
      <c r="F87" s="57">
        <v>183.3</v>
      </c>
      <c r="G87" s="49">
        <f t="shared" si="24"/>
        <v>183.3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85.92000000000002</v>
      </c>
      <c r="O87" s="53">
        <f t="shared" si="28"/>
        <v>85.92000000000002</v>
      </c>
      <c r="P87" s="56" t="e">
        <f t="shared" si="29"/>
        <v>#DIV/0!</v>
      </c>
      <c r="Q87" s="56">
        <f>N87-0</f>
        <v>85.92000000000002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22.62</v>
      </c>
      <c r="G89" s="49">
        <f t="shared" si="24"/>
        <v>-16.38</v>
      </c>
      <c r="H89" s="40">
        <f>F89/E89*100</f>
        <v>58.00000000000001</v>
      </c>
      <c r="I89" s="56">
        <f t="shared" si="26"/>
        <v>-152.38</v>
      </c>
      <c r="J89" s="56">
        <f t="shared" si="27"/>
        <v>12.925714285714287</v>
      </c>
      <c r="K89" s="56">
        <f>F89-47.5</f>
        <v>-24.88</v>
      </c>
      <c r="L89" s="135">
        <f>F89/47.5</f>
        <v>0.4762105263157895</v>
      </c>
      <c r="M89" s="40">
        <f>E89-лютий!E89</f>
        <v>15</v>
      </c>
      <c r="N89" s="40">
        <f>F89-лютий!F89</f>
        <v>3.210000000000001</v>
      </c>
      <c r="O89" s="53">
        <f t="shared" si="28"/>
        <v>-11.79</v>
      </c>
      <c r="P89" s="56">
        <f>N89/M89*100</f>
        <v>21.400000000000006</v>
      </c>
      <c r="Q89" s="56">
        <f>N89-15.9</f>
        <v>-12.69</v>
      </c>
      <c r="R89" s="135">
        <f>N89/15.9</f>
        <v>0.20188679245283023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1714.63</v>
      </c>
      <c r="G95" s="49">
        <f t="shared" si="31"/>
        <v>38.13000000000011</v>
      </c>
      <c r="H95" s="40">
        <f>F95/E95*100</f>
        <v>102.27438115120788</v>
      </c>
      <c r="I95" s="56">
        <f t="shared" si="32"/>
        <v>-4585.37</v>
      </c>
      <c r="J95" s="56">
        <f>F95/D95*100</f>
        <v>27.21634920634921</v>
      </c>
      <c r="K95" s="56">
        <f>F95-1478.7</f>
        <v>235.93000000000006</v>
      </c>
      <c r="L95" s="135">
        <f>F95/1478.7</f>
        <v>1.1595523094610132</v>
      </c>
      <c r="M95" s="40">
        <f>E95-лютий!E95</f>
        <v>515</v>
      </c>
      <c r="N95" s="40">
        <f>F95-лютий!F95</f>
        <v>524.71</v>
      </c>
      <c r="O95" s="53">
        <f t="shared" si="33"/>
        <v>9.710000000000036</v>
      </c>
      <c r="P95" s="56">
        <f>N95/M95*100</f>
        <v>101.88543689320389</v>
      </c>
      <c r="Q95" s="56">
        <f>N95-653.7</f>
        <v>-128.99</v>
      </c>
      <c r="R95" s="135">
        <f>N95/653.7</f>
        <v>0.8026770689918923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161.08</v>
      </c>
      <c r="G96" s="49">
        <f t="shared" si="31"/>
        <v>-63.41999999999999</v>
      </c>
      <c r="H96" s="40">
        <f>F96/E96*100</f>
        <v>71.75055679287306</v>
      </c>
      <c r="I96" s="56">
        <f t="shared" si="32"/>
        <v>-1038.92</v>
      </c>
      <c r="J96" s="56">
        <f>F96/D96*100</f>
        <v>13.423333333333334</v>
      </c>
      <c r="K96" s="56">
        <f>F96-161.5</f>
        <v>-0.4199999999999875</v>
      </c>
      <c r="L96" s="135">
        <f>F96/161.5</f>
        <v>0.9973993808049536</v>
      </c>
      <c r="M96" s="40">
        <f>E96-лютий!E96</f>
        <v>80</v>
      </c>
      <c r="N96" s="40">
        <f>F96-лютий!F96</f>
        <v>34.540000000000006</v>
      </c>
      <c r="O96" s="53">
        <f t="shared" si="33"/>
        <v>-45.459999999999994</v>
      </c>
      <c r="P96" s="56">
        <f>N96/M96*100</f>
        <v>43.17500000000001</v>
      </c>
      <c r="Q96" s="56">
        <f>N96-101.5</f>
        <v>-66.96</v>
      </c>
      <c r="R96" s="135">
        <f>N96/101.5</f>
        <v>0.3402955665024631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806.91</v>
      </c>
      <c r="G99" s="49">
        <f t="shared" si="31"/>
        <v>29.909999999999968</v>
      </c>
      <c r="H99" s="40">
        <f>F99/E99*100</f>
        <v>103.84942084942084</v>
      </c>
      <c r="I99" s="56">
        <f t="shared" si="32"/>
        <v>-3073.09</v>
      </c>
      <c r="J99" s="56">
        <f>F99/D99*100</f>
        <v>20.796649484536083</v>
      </c>
      <c r="K99" s="56">
        <f>F99-730.6</f>
        <v>76.30999999999995</v>
      </c>
      <c r="L99" s="135">
        <f>F99/730.6</f>
        <v>1.1044483985765123</v>
      </c>
      <c r="M99" s="40">
        <f>E99-лютий!E99</f>
        <v>250</v>
      </c>
      <c r="N99" s="40">
        <f>F99-лютий!F99</f>
        <v>154.90999999999997</v>
      </c>
      <c r="O99" s="53">
        <f t="shared" si="33"/>
        <v>-95.09000000000003</v>
      </c>
      <c r="P99" s="56">
        <f>N99/M99*100</f>
        <v>61.963999999999984</v>
      </c>
      <c r="Q99" s="56">
        <f>N99-242.1</f>
        <v>-87.19000000000003</v>
      </c>
      <c r="R99" s="135">
        <f>N99/242.1</f>
        <v>0.6398595621643948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153.4</v>
      </c>
      <c r="G102" s="144"/>
      <c r="H102" s="146"/>
      <c r="I102" s="145"/>
      <c r="J102" s="145"/>
      <c r="K102" s="148">
        <f>F102-88.6</f>
        <v>64.80000000000001</v>
      </c>
      <c r="L102" s="149">
        <f>F102/88.6</f>
        <v>1.7313769751693004</v>
      </c>
      <c r="M102" s="40">
        <f>E102-лютий!E102</f>
        <v>0</v>
      </c>
      <c r="N102" s="40">
        <f>F102-лютий!F102</f>
        <v>23.30000000000001</v>
      </c>
      <c r="O102" s="53"/>
      <c r="P102" s="60"/>
      <c r="Q102" s="60">
        <f>N102-31.4</f>
        <v>-8.099999999999987</v>
      </c>
      <c r="R102" s="135">
        <f>N102/31.4</f>
        <v>0.7420382165605099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F103-24.2</f>
        <v>-24.2</v>
      </c>
      <c r="L103" s="135">
        <f>F103/24.2</f>
        <v>0</v>
      </c>
      <c r="M103" s="40">
        <f>E103-лютий!E103</f>
        <v>24.5</v>
      </c>
      <c r="N103" s="40">
        <f>F103-лютий!F103</f>
        <v>0</v>
      </c>
      <c r="O103" s="53">
        <f aca="true" t="shared" si="35" ref="O103:O109">N103-M103</f>
        <v>-24.5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2.68</v>
      </c>
      <c r="G104" s="49">
        <f>F104-E104</f>
        <v>-3.52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F104-12.1</f>
        <v>-9.42</v>
      </c>
      <c r="L104" s="135">
        <f>F104/12.1</f>
        <v>0.22148760330578515</v>
      </c>
      <c r="M104" s="40">
        <f>E104-лютий!E104</f>
        <v>2</v>
      </c>
      <c r="N104" s="40">
        <f>F104-лютий!F104</f>
        <v>0</v>
      </c>
      <c r="O104" s="53">
        <f t="shared" si="35"/>
        <v>-2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85126.31999999999</v>
      </c>
      <c r="G106" s="50">
        <f>F106-E106</f>
        <v>-32949.78000000003</v>
      </c>
      <c r="H106" s="51">
        <f>F106/E106*100</f>
        <v>72.09445433919309</v>
      </c>
      <c r="I106" s="36">
        <f t="shared" si="34"/>
        <v>-451913.58</v>
      </c>
      <c r="J106" s="36">
        <f t="shared" si="36"/>
        <v>15.851023359716846</v>
      </c>
      <c r="K106" s="36">
        <f>F106-114781.4</f>
        <v>-29655.08</v>
      </c>
      <c r="L106" s="136">
        <f>F106/114781.4</f>
        <v>0.7416386278613085</v>
      </c>
      <c r="M106" s="22">
        <f>M8+M74+M104+M105</f>
        <v>42140.10000000001</v>
      </c>
      <c r="N106" s="22">
        <f>N8+N74+N104+N105</f>
        <v>13705.859999999997</v>
      </c>
      <c r="O106" s="55">
        <f t="shared" si="35"/>
        <v>-28434.240000000016</v>
      </c>
      <c r="P106" s="36">
        <f>N106/M106*100</f>
        <v>32.52450753557773</v>
      </c>
      <c r="Q106" s="36">
        <f>N106-39480.5</f>
        <v>-25774.640000000003</v>
      </c>
      <c r="R106" s="136">
        <f>N106/39480.5</f>
        <v>0.34715517787262057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66355.95</v>
      </c>
      <c r="G107" s="71">
        <f>G10-G18+G96</f>
        <v>-27325.15000000001</v>
      </c>
      <c r="H107" s="72">
        <f>F107/E107*100</f>
        <v>70.83173660428838</v>
      </c>
      <c r="I107" s="52">
        <f t="shared" si="34"/>
        <v>-353210.25</v>
      </c>
      <c r="J107" s="52">
        <f t="shared" si="36"/>
        <v>15.815370732914138</v>
      </c>
      <c r="K107" s="52">
        <f>F107-85425.6</f>
        <v>-19069.65000000001</v>
      </c>
      <c r="L107" s="137">
        <f>F107/85425.6</f>
        <v>0.7767689076810698</v>
      </c>
      <c r="M107" s="71">
        <f>M10-M18+M96</f>
        <v>33666.40000000001</v>
      </c>
      <c r="N107" s="71">
        <f>N10-N18+N96</f>
        <v>11483.419999999998</v>
      </c>
      <c r="O107" s="53">
        <f t="shared" si="35"/>
        <v>-22182.98000000001</v>
      </c>
      <c r="P107" s="52">
        <f>N107/M107*100</f>
        <v>34.10943849060189</v>
      </c>
      <c r="Q107" s="52">
        <f>N107-30211.8</f>
        <v>-18728.38</v>
      </c>
      <c r="R107" s="137">
        <f>N107/30211.8</f>
        <v>0.3800971805718295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18770.369999999995</v>
      </c>
      <c r="G108" s="62">
        <f>F108-E108</f>
        <v>-5624.630000000019</v>
      </c>
      <c r="H108" s="72">
        <f>F108/E108*100</f>
        <v>76.94351301496202</v>
      </c>
      <c r="I108" s="52">
        <f t="shared" si="34"/>
        <v>-98703.33000000002</v>
      </c>
      <c r="J108" s="52">
        <f t="shared" si="36"/>
        <v>15.978359411510827</v>
      </c>
      <c r="K108" s="52">
        <f>F108-29355.8</f>
        <v>-10585.430000000004</v>
      </c>
      <c r="L108" s="137">
        <f>F108/29355.8</f>
        <v>0.6394092479169362</v>
      </c>
      <c r="M108" s="71">
        <f>M106-M107</f>
        <v>8473.700000000004</v>
      </c>
      <c r="N108" s="71">
        <f>N106-N107</f>
        <v>2222.4399999999987</v>
      </c>
      <c r="O108" s="53">
        <f t="shared" si="35"/>
        <v>-6251.260000000006</v>
      </c>
      <c r="P108" s="52">
        <f>N108/M108*100</f>
        <v>26.227503923905704</v>
      </c>
      <c r="Q108" s="52">
        <f>N108-9268.6</f>
        <v>-7046.160000000002</v>
      </c>
      <c r="R108" s="137">
        <f>N108/9268.6</f>
        <v>0.23978162829337749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66355.95</v>
      </c>
      <c r="G109" s="111">
        <f>F109-E109</f>
        <v>-27325.15000000001</v>
      </c>
      <c r="H109" s="72">
        <f>F109/E109*100</f>
        <v>70.83173660428838</v>
      </c>
      <c r="I109" s="81">
        <f t="shared" si="34"/>
        <v>-353210.25</v>
      </c>
      <c r="J109" s="52">
        <f t="shared" si="36"/>
        <v>15.815370732914138</v>
      </c>
      <c r="K109" s="52"/>
      <c r="L109" s="137"/>
      <c r="M109" s="122">
        <f>E109-лютий!E109</f>
        <v>33666.40000000001</v>
      </c>
      <c r="N109" s="71">
        <f>N107</f>
        <v>11483.419999999998</v>
      </c>
      <c r="O109" s="118">
        <f t="shared" si="35"/>
        <v>-22182.98000000001</v>
      </c>
      <c r="P109" s="52">
        <f>N109/M109*100</f>
        <v>34.10943849060189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4870.4</v>
      </c>
      <c r="F110" s="87">
        <f>'[1]березень'!$C$28/1000</f>
        <v>3962.352</v>
      </c>
      <c r="G110" s="62">
        <f>F110-E110</f>
        <v>-908.0479999999998</v>
      </c>
      <c r="H110" s="72"/>
      <c r="I110" s="85">
        <f t="shared" si="34"/>
        <v>-908.0280000000002</v>
      </c>
      <c r="J110" s="52"/>
      <c r="K110" s="52"/>
      <c r="L110" s="137"/>
      <c r="M110" s="40">
        <f>E110-лютий!E110</f>
        <v>1650.9889999999996</v>
      </c>
      <c r="N110" s="71">
        <f>F110-лютий!F110</f>
        <v>742.9409999999998</v>
      </c>
      <c r="O110" s="86">
        <f>N110-M110</f>
        <v>-908.0479999999998</v>
      </c>
      <c r="P110" s="52">
        <f>N110/M110*100</f>
        <v>44.99975469249038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-2.97</v>
      </c>
      <c r="G113" s="49">
        <f aca="true" t="shared" si="37" ref="G113:G125">F113-E113</f>
        <v>-2.97</v>
      </c>
      <c r="H113" s="40"/>
      <c r="I113" s="60">
        <f aca="true" t="shared" si="38" ref="I113:I124">F113-D113</f>
        <v>-2.97</v>
      </c>
      <c r="J113" s="60"/>
      <c r="K113" s="60">
        <f>F113-4.6</f>
        <v>-7.57</v>
      </c>
      <c r="L113" s="138">
        <f>F113/4.6</f>
        <v>-0.6456521739130435</v>
      </c>
      <c r="M113" s="40">
        <f>E113-лютий!E113</f>
        <v>0</v>
      </c>
      <c r="N113" s="40">
        <f>F113-лютий!F113</f>
        <v>-0.3600000000000003</v>
      </c>
      <c r="O113" s="53"/>
      <c r="P113" s="60"/>
      <c r="Q113" s="60">
        <f>N113-0.5</f>
        <v>-0.8600000000000003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200.39</v>
      </c>
      <c r="G114" s="49">
        <f t="shared" si="37"/>
        <v>-514.21</v>
      </c>
      <c r="H114" s="40">
        <f aca="true" t="shared" si="39" ref="H114:H125">F114/E114*100</f>
        <v>28.042261404981804</v>
      </c>
      <c r="I114" s="60">
        <f t="shared" si="38"/>
        <v>-3471.11</v>
      </c>
      <c r="J114" s="60">
        <f aca="true" t="shared" si="40" ref="J114:J120">F114/D114*100</f>
        <v>5.457987198692632</v>
      </c>
      <c r="K114" s="60">
        <f>F114-834.4</f>
        <v>-634.01</v>
      </c>
      <c r="L114" s="138">
        <f>F114/834.4</f>
        <v>0.2401605944391179</v>
      </c>
      <c r="M114" s="40">
        <f>E114-лютий!E114</f>
        <v>327.5</v>
      </c>
      <c r="N114" s="40">
        <f>F114-лютий!F114</f>
        <v>21.149999999999977</v>
      </c>
      <c r="O114" s="53">
        <f aca="true" t="shared" si="41" ref="O114:O125">N114-M114</f>
        <v>-306.35</v>
      </c>
      <c r="P114" s="60">
        <f>N114/M114*100</f>
        <v>6.458015267175565</v>
      </c>
      <c r="Q114" s="60">
        <f>N114-228.9</f>
        <v>-207.75000000000003</v>
      </c>
      <c r="R114" s="138">
        <f>N114/228.9</f>
        <v>0.09239842726081247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268.11</v>
      </c>
      <c r="G116" s="62">
        <f t="shared" si="37"/>
        <v>-514.99</v>
      </c>
      <c r="H116" s="72">
        <f t="shared" si="39"/>
        <v>34.23700676797344</v>
      </c>
      <c r="I116" s="61">
        <f t="shared" si="38"/>
        <v>-3671.49</v>
      </c>
      <c r="J116" s="61">
        <f t="shared" si="40"/>
        <v>6.80551325007615</v>
      </c>
      <c r="K116" s="61">
        <f>F116-902.4</f>
        <v>-634.29</v>
      </c>
      <c r="L116" s="139">
        <f>F116/902.4</f>
        <v>0.2971077127659575</v>
      </c>
      <c r="M116" s="62">
        <f>M114+M115+M113</f>
        <v>349.5</v>
      </c>
      <c r="N116" s="38">
        <f>SUM(N113:N115)</f>
        <v>44.78999999999998</v>
      </c>
      <c r="O116" s="61">
        <f t="shared" si="41"/>
        <v>-304.71000000000004</v>
      </c>
      <c r="P116" s="61">
        <f>N116/M116*100</f>
        <v>12.815450643776819</v>
      </c>
      <c r="Q116" s="61">
        <f>N116-253.5</f>
        <v>-208.71000000000004</v>
      </c>
      <c r="R116" s="139">
        <f>N116/253.5</f>
        <v>0.17668639053254429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58.77</v>
      </c>
      <c r="G118" s="49">
        <f t="shared" si="37"/>
        <v>58.77</v>
      </c>
      <c r="H118" s="40" t="e">
        <f t="shared" si="39"/>
        <v>#DIV/0!</v>
      </c>
      <c r="I118" s="60">
        <f t="shared" si="38"/>
        <v>58.77</v>
      </c>
      <c r="J118" s="60" t="e">
        <f t="shared" si="40"/>
        <v>#DIV/0!</v>
      </c>
      <c r="K118" s="60">
        <f>F118-7.7</f>
        <v>51.07</v>
      </c>
      <c r="L118" s="138">
        <f>F118/7.7</f>
        <v>7.632467532467532</v>
      </c>
      <c r="M118" s="40">
        <f>E118-лютий!E118</f>
        <v>0</v>
      </c>
      <c r="N118" s="40">
        <f>F118-лютий!F118</f>
        <v>1.3800000000000026</v>
      </c>
      <c r="O118" s="53" t="s">
        <v>166</v>
      </c>
      <c r="P118" s="60"/>
      <c r="Q118" s="60">
        <f>N118-2.5</f>
        <v>-1.1199999999999974</v>
      </c>
      <c r="R118" s="138">
        <f>N118/2.5</f>
        <v>0.552000000000001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18060.04</v>
      </c>
      <c r="G119" s="49">
        <f t="shared" si="37"/>
        <v>-552.5599999999977</v>
      </c>
      <c r="H119" s="40">
        <f t="shared" si="39"/>
        <v>97.03125839485082</v>
      </c>
      <c r="I119" s="53">
        <f t="shared" si="38"/>
        <v>-7927.3449999999975</v>
      </c>
      <c r="J119" s="60">
        <f t="shared" si="40"/>
        <v>69.49541094650348</v>
      </c>
      <c r="K119" s="60">
        <f>F119-17244.2</f>
        <v>815.8400000000001</v>
      </c>
      <c r="L119" s="138">
        <f>F119/17244.2</f>
        <v>1.0473109799236844</v>
      </c>
      <c r="M119" s="40">
        <f>E119-лютий!E119</f>
        <v>3092.999999999998</v>
      </c>
      <c r="N119" s="40">
        <f>F119-лютий!F119</f>
        <v>1178.7000000000007</v>
      </c>
      <c r="O119" s="53">
        <f t="shared" si="41"/>
        <v>-1914.2999999999975</v>
      </c>
      <c r="P119" s="60">
        <f aca="true" t="shared" si="42" ref="P119:P124">N119/M119*100</f>
        <v>38.10863239573234</v>
      </c>
      <c r="Q119" s="60">
        <f>N119-2792.9</f>
        <v>-1614.1999999999994</v>
      </c>
      <c r="R119" s="138">
        <f>N119/2792.9</f>
        <v>0.4220344444842281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475.93</v>
      </c>
      <c r="G120" s="49">
        <f t="shared" si="37"/>
        <v>475.93</v>
      </c>
      <c r="H120" s="40" t="e">
        <f t="shared" si="39"/>
        <v>#DIV/0!</v>
      </c>
      <c r="I120" s="60">
        <f t="shared" si="38"/>
        <v>475.93</v>
      </c>
      <c r="J120" s="60" t="e">
        <f t="shared" si="40"/>
        <v>#DIV/0!</v>
      </c>
      <c r="K120" s="60">
        <f>F120-280.5</f>
        <v>195.43</v>
      </c>
      <c r="L120" s="138">
        <f>F120/230.5</f>
        <v>2.064772234273319</v>
      </c>
      <c r="M120" s="40">
        <f>E120-лютий!E120</f>
        <v>0</v>
      </c>
      <c r="N120" s="40">
        <f>F120-лютий!F120</f>
        <v>0.03000000000002956</v>
      </c>
      <c r="O120" s="53">
        <f t="shared" si="41"/>
        <v>0.03000000000002956</v>
      </c>
      <c r="P120" s="60" t="e">
        <f t="shared" si="42"/>
        <v>#DIV/0!</v>
      </c>
      <c r="Q120" s="60">
        <f>N120-0</f>
        <v>0.03000000000002956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1105.79</v>
      </c>
      <c r="G121" s="49">
        <f t="shared" si="37"/>
        <v>1105.79</v>
      </c>
      <c r="H121" s="40" t="e">
        <f t="shared" si="39"/>
        <v>#DIV/0!</v>
      </c>
      <c r="I121" s="60">
        <f t="shared" si="38"/>
        <v>1105.79</v>
      </c>
      <c r="J121" s="60" t="e">
        <f>F121/D121*100</f>
        <v>#DIV/0!</v>
      </c>
      <c r="K121" s="60">
        <f>F121-6993.4</f>
        <v>-5887.61</v>
      </c>
      <c r="L121" s="138">
        <f>F121/6993.4</f>
        <v>0.15811908370749564</v>
      </c>
      <c r="M121" s="40">
        <f>E121-лютий!E121</f>
        <v>0</v>
      </c>
      <c r="N121" s="40">
        <f>F121-лютий!F121</f>
        <v>62.61999999999989</v>
      </c>
      <c r="O121" s="53">
        <f t="shared" si="41"/>
        <v>62.61999999999989</v>
      </c>
      <c r="P121" s="60" t="e">
        <f t="shared" si="42"/>
        <v>#DIV/0!</v>
      </c>
      <c r="Q121" s="60">
        <f>N121-6463.4</f>
        <v>-6400.78</v>
      </c>
      <c r="R121" s="138">
        <f>N121/6463.4</f>
        <v>0.009688399294488953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155.42</v>
      </c>
      <c r="G122" s="49">
        <f t="shared" si="37"/>
        <v>155.42</v>
      </c>
      <c r="H122" s="40" t="e">
        <f t="shared" si="39"/>
        <v>#DIV/0!</v>
      </c>
      <c r="I122" s="60">
        <f t="shared" si="38"/>
        <v>155.42</v>
      </c>
      <c r="J122" s="60" t="e">
        <f>F122/D122*100</f>
        <v>#DIV/0!</v>
      </c>
      <c r="K122" s="60">
        <f>F122-314.5</f>
        <v>-159.08</v>
      </c>
      <c r="L122" s="138">
        <f>F122/314.5</f>
        <v>0.494181240063593</v>
      </c>
      <c r="M122" s="40">
        <f>E122-лютий!E122</f>
        <v>0</v>
      </c>
      <c r="N122" s="40">
        <f>F122-лютий!F122</f>
        <v>68.01999999999998</v>
      </c>
      <c r="O122" s="53">
        <f t="shared" si="41"/>
        <v>68.01999999999998</v>
      </c>
      <c r="P122" s="60" t="e">
        <f t="shared" si="42"/>
        <v>#DIV/0!</v>
      </c>
      <c r="Q122" s="60">
        <f>N122-7.7</f>
        <v>60.31999999999998</v>
      </c>
      <c r="R122" s="138">
        <f>N122/7.7</f>
        <v>8.833766233766232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19855.95</v>
      </c>
      <c r="G123" s="62">
        <f t="shared" si="37"/>
        <v>1243.3500000000022</v>
      </c>
      <c r="H123" s="72">
        <f t="shared" si="39"/>
        <v>106.6801521549918</v>
      </c>
      <c r="I123" s="61">
        <f t="shared" si="38"/>
        <v>-6131.434999999998</v>
      </c>
      <c r="J123" s="61">
        <f>F123/D123*100</f>
        <v>76.40611011842863</v>
      </c>
      <c r="K123" s="61">
        <f>F123-24840.3</f>
        <v>-4984.3499999999985</v>
      </c>
      <c r="L123" s="139">
        <f>F123/24840.3</f>
        <v>0.79934421081871</v>
      </c>
      <c r="M123" s="62">
        <f>M119+M120+M121+M122+M118</f>
        <v>3092.999999999998</v>
      </c>
      <c r="N123" s="62">
        <f>N119+N120+N121+N122+N118</f>
        <v>1310.7500000000007</v>
      </c>
      <c r="O123" s="61">
        <f t="shared" si="41"/>
        <v>-1782.2499999999975</v>
      </c>
      <c r="P123" s="61">
        <f t="shared" si="42"/>
        <v>42.37795021015201</v>
      </c>
      <c r="Q123" s="61">
        <f>N123-9266.6</f>
        <v>-7955.849999999999</v>
      </c>
      <c r="R123" s="139">
        <f>N123/9266.6</f>
        <v>0.1414488593443119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0.16</v>
      </c>
      <c r="G124" s="49">
        <f t="shared" si="37"/>
        <v>-8</v>
      </c>
      <c r="H124" s="40">
        <f t="shared" si="39"/>
        <v>1.9607843137254901</v>
      </c>
      <c r="I124" s="60">
        <f t="shared" si="38"/>
        <v>-43.34</v>
      </c>
      <c r="J124" s="60">
        <f>F124/D124*100</f>
        <v>0.367816091954023</v>
      </c>
      <c r="K124" s="60">
        <f>F124-97</f>
        <v>-96.84</v>
      </c>
      <c r="L124" s="138">
        <f>F124/97</f>
        <v>0.0016494845360824743</v>
      </c>
      <c r="M124" s="40">
        <f>E124-лютий!E124</f>
        <v>3</v>
      </c>
      <c r="N124" s="40">
        <f>F124-лютий!F124</f>
        <v>0</v>
      </c>
      <c r="O124" s="53">
        <f t="shared" si="41"/>
        <v>-3</v>
      </c>
      <c r="P124" s="60">
        <f>N124/M124*100</f>
        <v>0</v>
      </c>
      <c r="Q124" s="60">
        <f>N124-70.5</f>
        <v>-70.5</v>
      </c>
      <c r="R124" s="138">
        <f>N124/70.5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2603.15</v>
      </c>
      <c r="G127" s="49">
        <f aca="true" t="shared" si="43" ref="G127:G134">F127-E127</f>
        <v>95.65000000000009</v>
      </c>
      <c r="H127" s="40">
        <f>F127/E127*100</f>
        <v>103.81455633100698</v>
      </c>
      <c r="I127" s="60">
        <f aca="true" t="shared" si="44" ref="I127:I134">F127-D127</f>
        <v>-6096.85</v>
      </c>
      <c r="J127" s="60">
        <f>F127/D127*100</f>
        <v>29.921264367816093</v>
      </c>
      <c r="K127" s="60">
        <f>F127-2439.6</f>
        <v>163.55000000000018</v>
      </c>
      <c r="L127" s="138">
        <f>F127/2439.6</f>
        <v>1.067039678635842</v>
      </c>
      <c r="M127" s="40">
        <f>E127-лютий!E127</f>
        <v>0</v>
      </c>
      <c r="N127" s="40">
        <f>F127-лютий!F127</f>
        <v>-881.4899999999998</v>
      </c>
      <c r="O127" s="53">
        <f aca="true" t="shared" si="45" ref="O127:O134">N127-M127</f>
        <v>-881.4899999999998</v>
      </c>
      <c r="P127" s="60" t="e">
        <f>N127/M127*100</f>
        <v>#DIV/0!</v>
      </c>
      <c r="Q127" s="60">
        <f>N127-0.4</f>
        <v>-881.8899999999998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-0.25</v>
      </c>
      <c r="G128" s="49">
        <f t="shared" si="43"/>
        <v>-0.25</v>
      </c>
      <c r="H128" s="40"/>
      <c r="I128" s="60">
        <f t="shared" si="44"/>
        <v>-0.25</v>
      </c>
      <c r="J128" s="60"/>
      <c r="K128" s="60">
        <f>F128-(-0.8)</f>
        <v>0.55</v>
      </c>
      <c r="L128" s="138">
        <f>F128/(-0.8)</f>
        <v>0.3125</v>
      </c>
      <c r="M128" s="40">
        <f>E128-лютий!E128</f>
        <v>0</v>
      </c>
      <c r="N128" s="40">
        <f>F128-лютий!F128</f>
        <v>-0.01999999999999999</v>
      </c>
      <c r="O128" s="53">
        <f t="shared" si="45"/>
        <v>-0.01999999999999999</v>
      </c>
      <c r="P128" s="60"/>
      <c r="Q128" s="60">
        <f>N128-(-0.1)</f>
        <v>0.08000000000000002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2611.82</v>
      </c>
      <c r="G129" s="62">
        <f t="shared" si="43"/>
        <v>88.96000000000049</v>
      </c>
      <c r="H129" s="72">
        <f>F129/E129*100</f>
        <v>103.52615682201946</v>
      </c>
      <c r="I129" s="61">
        <f t="shared" si="44"/>
        <v>-6138.880000000001</v>
      </c>
      <c r="J129" s="61">
        <f>F129/D129*100</f>
        <v>29.846983669877837</v>
      </c>
      <c r="K129" s="61">
        <f>F129-2544.3</f>
        <v>67.51999999999998</v>
      </c>
      <c r="L129" s="139">
        <f>G129/2544.3</f>
        <v>0.03496443029516978</v>
      </c>
      <c r="M129" s="62">
        <f>M124+M127+M128+M126</f>
        <v>3</v>
      </c>
      <c r="N129" s="62">
        <f>N124+N127+N128+N126</f>
        <v>-881.5099999999998</v>
      </c>
      <c r="O129" s="61">
        <f t="shared" si="45"/>
        <v>-884.5099999999998</v>
      </c>
      <c r="P129" s="61">
        <f>N129/M129*100</f>
        <v>-29383.666666666657</v>
      </c>
      <c r="Q129" s="61">
        <f>N129-69.8</f>
        <v>-951.3099999999997</v>
      </c>
      <c r="R129" s="137">
        <f>N129/69.8</f>
        <v>-12.62908309455587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1.98</v>
      </c>
      <c r="G130" s="49">
        <f>F130-E130</f>
        <v>-5.869999999999999</v>
      </c>
      <c r="H130" s="40">
        <f>F130/E130*100</f>
        <v>25.222929936305732</v>
      </c>
      <c r="I130" s="60">
        <f>F130-D130</f>
        <v>-28.02</v>
      </c>
      <c r="J130" s="60">
        <f>F130/D130*100</f>
        <v>6.6000000000000005</v>
      </c>
      <c r="K130" s="60">
        <f>F130-8.4</f>
        <v>-6.42</v>
      </c>
      <c r="L130" s="138">
        <f>F130/8.4</f>
        <v>0.2357142857142857</v>
      </c>
      <c r="M130" s="40">
        <f>E130-лютий!E130</f>
        <v>7</v>
      </c>
      <c r="N130" s="40">
        <f>F130-лютий!F130</f>
        <v>0</v>
      </c>
      <c r="O130" s="53">
        <f>N130-M130</f>
        <v>-7</v>
      </c>
      <c r="P130" s="60">
        <f>N130/M130*100</f>
        <v>0</v>
      </c>
      <c r="Q130" s="60">
        <f>N130-7.3</f>
        <v>-7.3</v>
      </c>
      <c r="R130" s="138">
        <f>N130/7.3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22737.86</v>
      </c>
      <c r="G133" s="50">
        <f t="shared" si="43"/>
        <v>811.4500000000007</v>
      </c>
      <c r="H133" s="51">
        <f>F133/E133*100</f>
        <v>103.70078822753017</v>
      </c>
      <c r="I133" s="36">
        <f t="shared" si="44"/>
        <v>-15969.824999999997</v>
      </c>
      <c r="J133" s="36">
        <f>F133/D133*100</f>
        <v>58.74249519184628</v>
      </c>
      <c r="K133" s="36">
        <f>F133-28295.3</f>
        <v>-5557.439999999999</v>
      </c>
      <c r="L133" s="136">
        <f>F133/28295.3</f>
        <v>0.8035914091739618</v>
      </c>
      <c r="M133" s="31">
        <f>M116+M130+M123+M129+M132+M131</f>
        <v>3452.499999999998</v>
      </c>
      <c r="N133" s="31">
        <f>N116+N130+N123+N129+N132+N131</f>
        <v>474.0300000000009</v>
      </c>
      <c r="O133" s="36">
        <f t="shared" si="45"/>
        <v>-2978.4699999999975</v>
      </c>
      <c r="P133" s="36">
        <f>N133/M133*100</f>
        <v>13.730050687907347</v>
      </c>
      <c r="Q133" s="36">
        <f>N133-9597.2</f>
        <v>-9123.17</v>
      </c>
      <c r="R133" s="136">
        <f>N133/9597.2</f>
        <v>0.049392531154920274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107864.18</v>
      </c>
      <c r="G134" s="50">
        <f t="shared" si="43"/>
        <v>-32138.330000000016</v>
      </c>
      <c r="H134" s="51">
        <f>F134/E134*100</f>
        <v>77.04446156001059</v>
      </c>
      <c r="I134" s="36">
        <f t="shared" si="44"/>
        <v>-467883.40499999997</v>
      </c>
      <c r="J134" s="36">
        <f>F134/D134*100</f>
        <v>18.734630037571065</v>
      </c>
      <c r="K134" s="36">
        <f>F134-143076.7</f>
        <v>-35212.52000000002</v>
      </c>
      <c r="L134" s="136">
        <f>F134/143076.7</f>
        <v>0.7538906055283634</v>
      </c>
      <c r="M134" s="22">
        <f>M106+M133</f>
        <v>45592.60000000001</v>
      </c>
      <c r="N134" s="22">
        <f>N106+N133</f>
        <v>14179.889999999998</v>
      </c>
      <c r="O134" s="36">
        <f t="shared" si="45"/>
        <v>-31412.710000000014</v>
      </c>
      <c r="P134" s="36">
        <f>N134/M134*100</f>
        <v>31.10129714032539</v>
      </c>
      <c r="Q134" s="36">
        <f>N134-49077.7</f>
        <v>-34897.81</v>
      </c>
      <c r="R134" s="136">
        <f>N134/49077.7</f>
        <v>0.2889273539713556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11</v>
      </c>
      <c r="D136" s="4" t="s">
        <v>118</v>
      </c>
    </row>
    <row r="137" spans="2:17" ht="31.5">
      <c r="B137" s="78" t="s">
        <v>154</v>
      </c>
      <c r="C137" s="39">
        <f>IF(O106&lt;0,ABS(O106/C136),0)</f>
        <v>2584.9309090909105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41712</v>
      </c>
      <c r="D138" s="39">
        <v>1386.5</v>
      </c>
      <c r="N138" s="152"/>
      <c r="O138" s="152"/>
    </row>
    <row r="139" spans="3:15" ht="15.75">
      <c r="C139" s="120">
        <v>41711</v>
      </c>
      <c r="D139" s="39">
        <v>1395.1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41710</v>
      </c>
      <c r="D140" s="39">
        <v>991.5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115899.05984999999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102073.83788999998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Q56" sqref="Q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186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189</v>
      </c>
      <c r="N3" s="172" t="s">
        <v>184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193</v>
      </c>
      <c r="F4" s="173" t="s">
        <v>116</v>
      </c>
      <c r="G4" s="175" t="s">
        <v>194</v>
      </c>
      <c r="H4" s="177" t="s">
        <v>167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89"/>
      <c r="N4" s="168" t="s">
        <v>192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183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181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65.39999999999999</v>
      </c>
      <c r="O102" s="53"/>
      <c r="P102" s="60"/>
      <c r="Q102" s="60">
        <f>N102-26.6</f>
        <v>38.79999999999999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-1650.969</v>
      </c>
      <c r="J110" s="52"/>
      <c r="K110" s="52"/>
      <c r="L110" s="137"/>
      <c r="M110" s="40">
        <f>E110-'січень '!E110</f>
        <v>1650.981</v>
      </c>
      <c r="N110" s="71">
        <f>F110-'січень '!F110</f>
        <v>1650.98</v>
      </c>
      <c r="O110" s="86"/>
      <c r="P110" s="52">
        <f>N110/M110*100</f>
        <v>99.99993942995104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190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177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174</v>
      </c>
      <c r="H4" s="177" t="s">
        <v>175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98"/>
      <c r="N4" s="168" t="s">
        <v>185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176</v>
      </c>
      <c r="L5" s="164"/>
      <c r="M5" s="199"/>
      <c r="N5" s="169"/>
      <c r="O5" s="171"/>
      <c r="P5" s="172"/>
      <c r="Q5" s="153" t="s">
        <v>178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181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64.7</v>
      </c>
      <c r="G102" s="144"/>
      <c r="H102" s="146"/>
      <c r="I102" s="145"/>
      <c r="J102" s="145"/>
      <c r="K102" s="145">
        <f>F102-30.6</f>
        <v>34.1</v>
      </c>
      <c r="L102" s="148">
        <f>F102/30.6*100</f>
        <v>211.43790849673204</v>
      </c>
      <c r="M102" s="40">
        <f t="shared" si="39"/>
        <v>0</v>
      </c>
      <c r="N102" s="40">
        <f t="shared" si="40"/>
        <v>64.7</v>
      </c>
      <c r="O102" s="53"/>
      <c r="P102" s="56"/>
      <c r="Q102" s="56">
        <f>N102-30.6</f>
        <v>34.1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4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2014-03-17T08:25:10Z</cp:lastPrinted>
  <dcterms:created xsi:type="dcterms:W3CDTF">2003-07-28T11:27:56Z</dcterms:created>
  <dcterms:modified xsi:type="dcterms:W3CDTF">2014-03-17T08:25:11Z</dcterms:modified>
  <cp:category/>
  <cp:version/>
  <cp:contentType/>
  <cp:contentStatus/>
</cp:coreProperties>
</file>